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bodint-my.sharepoint.com/personal/gm_cobod_com/Documents/.Documents/Materials consulting/COBOD's guide on D.fab/Performance testing/"/>
    </mc:Choice>
  </mc:AlternateContent>
  <xr:revisionPtr revIDLastSave="0" documentId="8_{7A985FCC-D543-4D55-8DA5-03D43F09D471}" xr6:coauthVersionLast="47" xr6:coauthVersionMax="47" xr10:uidLastSave="{00000000-0000-0000-0000-000000000000}"/>
  <bookViews>
    <workbookView xWindow="28680" yWindow="-120" windowWidth="29040" windowHeight="15720" firstSheet="5" activeTab="5" xr2:uid="{A72F20E1-C6BE-4890-A941-1A4A1AD262BE}"/>
  </bookViews>
  <sheets>
    <sheet name="Moisture content" sheetId="4" r:id="rId1"/>
    <sheet name="Open time" sheetId="2" r:id="rId2"/>
    <sheet name="Buildability" sheetId="1" r:id="rId3"/>
    <sheet name="Strength" sheetId="3" r:id="rId4"/>
    <sheet name="Evaporation rate" sheetId="5" r:id="rId5"/>
    <sheet name="Residuel time" sheetId="6" r:id="rId6"/>
  </sheets>
  <externalReferences>
    <externalReference r:id="rId7"/>
    <externalReference r:id="rId8"/>
  </externalReferences>
  <definedNames>
    <definedName name="Addition">'[1]Raw materials'!$C$10:$C$12</definedName>
    <definedName name="Admixture">'[1]Raw materials'!$C$25:$C$39</definedName>
    <definedName name="Cement">'[1]Raw materials'!$C$5:$C$7</definedName>
    <definedName name="CoarseAggregate">'[1]Raw materials'!$C$19:$C$22</definedName>
    <definedName name="FineAggregate">'[1]Raw materials'!$C$15:$C$18</definedName>
    <definedName name="solver_adj" localSheetId="2" hidden="1">Buildability!$B$15</definedName>
    <definedName name="solver_cvg" localSheetId="2" hidden="1">0.0001</definedName>
    <definedName name="solver_drv" localSheetId="2" hidden="1">1</definedName>
    <definedName name="solver_eng" localSheetId="2" hidden="1">1</definedName>
    <definedName name="solver_est" localSheetId="2" hidden="1">1</definedName>
    <definedName name="solver_itr" localSheetId="2" hidden="1">2147483647</definedName>
    <definedName name="solver_lhs1" localSheetId="2" hidden="1">Buildability!$B$38</definedName>
    <definedName name="solver_mip" localSheetId="2" hidden="1">2147483647</definedName>
    <definedName name="solver_mni" localSheetId="2" hidden="1">30</definedName>
    <definedName name="solver_mrt" localSheetId="2" hidden="1">0.075</definedName>
    <definedName name="solver_msl" localSheetId="2" hidden="1">2</definedName>
    <definedName name="solver_neg" localSheetId="2" hidden="1">1</definedName>
    <definedName name="solver_nod" localSheetId="2" hidden="1">2147483647</definedName>
    <definedName name="solver_num" localSheetId="2" hidden="1">1</definedName>
    <definedName name="solver_nwt" localSheetId="2" hidden="1">1</definedName>
    <definedName name="solver_opt" localSheetId="2" hidden="1">Buildability!$B$15</definedName>
    <definedName name="solver_pre" localSheetId="2" hidden="1">0.000001</definedName>
    <definedName name="solver_rbv" localSheetId="2" hidden="1">1</definedName>
    <definedName name="solver_rel1" localSheetId="2" hidden="1">1</definedName>
    <definedName name="solver_rhs1" localSheetId="2" hidden="1">0</definedName>
    <definedName name="solver_rlx" localSheetId="2" hidden="1">2</definedName>
    <definedName name="solver_rsd" localSheetId="2" hidden="1">0</definedName>
    <definedName name="solver_scl" localSheetId="2" hidden="1">1</definedName>
    <definedName name="solver_sho" localSheetId="2" hidden="1">2</definedName>
    <definedName name="solver_ssz" localSheetId="2" hidden="1">100</definedName>
    <definedName name="solver_tim" localSheetId="2" hidden="1">2147483647</definedName>
    <definedName name="solver_tol" localSheetId="2" hidden="1">0.01</definedName>
    <definedName name="solver_typ" localSheetId="2" hidden="1">1</definedName>
    <definedName name="solver_val" localSheetId="2" hidden="1">0</definedName>
    <definedName name="solver_ver" localSheetId="2" hidden="1">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0" i="6" l="1"/>
  <c r="B16" i="6" s="1"/>
  <c r="B11" i="6"/>
  <c r="B13" i="6" s="1"/>
  <c r="B6" i="5"/>
  <c r="K5" i="1"/>
  <c r="C7" i="2"/>
  <c r="D7" i="2" s="1"/>
  <c r="E7" i="2" s="1"/>
  <c r="F7" i="2" s="1"/>
  <c r="G7" i="2" s="1"/>
  <c r="H7" i="2" s="1"/>
  <c r="C5" i="4"/>
  <c r="B5" i="4"/>
  <c r="B17" i="6" l="1"/>
  <c r="L3" i="3"/>
  <c r="F8" i="3"/>
  <c r="F9" i="3" s="1"/>
  <c r="F10" i="3" s="1"/>
  <c r="F11" i="3" s="1"/>
  <c r="E8" i="3"/>
  <c r="F6" i="3"/>
  <c r="F7" i="3" s="1"/>
  <c r="E20" i="3"/>
  <c r="E19" i="3"/>
  <c r="E18" i="3"/>
  <c r="E17" i="3"/>
  <c r="E16" i="3"/>
  <c r="E15" i="3"/>
  <c r="D13" i="3"/>
  <c r="D14" i="3" s="1"/>
  <c r="E14" i="3" s="1"/>
  <c r="E12" i="3"/>
  <c r="E11" i="3"/>
  <c r="E10" i="3"/>
  <c r="E9" i="3"/>
  <c r="E7" i="3"/>
  <c r="E6" i="3"/>
  <c r="E5" i="3"/>
  <c r="E4" i="3"/>
  <c r="Q3" i="3"/>
  <c r="E3" i="3"/>
  <c r="F12" i="3" l="1"/>
  <c r="F13" i="3" s="1"/>
  <c r="F14" i="3" s="1"/>
  <c r="F15" i="3" s="1"/>
  <c r="F16" i="3" s="1"/>
  <c r="F17" i="3" s="1"/>
  <c r="F18" i="3" s="1"/>
  <c r="F19" i="3" s="1"/>
  <c r="F20" i="3" s="1"/>
  <c r="E13" i="3"/>
  <c r="C5" i="2" l="1"/>
  <c r="D5" i="2" s="1"/>
  <c r="E5" i="2" s="1"/>
  <c r="F5" i="2" s="1"/>
  <c r="G5" i="2" s="1"/>
  <c r="H5" i="2" s="1"/>
  <c r="L6" i="1"/>
  <c r="K6" i="1"/>
  <c r="J6" i="1"/>
  <c r="J8" i="1" s="1"/>
  <c r="B26" i="1" s="1"/>
  <c r="L5" i="1"/>
  <c r="L8" i="1" s="1"/>
  <c r="K8" i="1"/>
  <c r="B27" i="1" s="1"/>
  <c r="J5" i="1"/>
  <c r="I8" i="1"/>
  <c r="C8" i="1"/>
  <c r="B24" i="1" s="1"/>
  <c r="D8" i="1"/>
  <c r="E8" i="1"/>
  <c r="F8" i="1"/>
  <c r="G8" i="1"/>
  <c r="H8" i="1"/>
  <c r="B8" i="1"/>
  <c r="B25" i="1" s="1"/>
  <c r="J4" i="1"/>
  <c r="K4" i="1"/>
  <c r="L4" i="1"/>
  <c r="B20" i="1"/>
  <c r="B39" i="1" s="1"/>
  <c r="B21" i="1"/>
  <c r="B29" i="1"/>
  <c r="B30" i="1" l="1"/>
  <c r="B31" i="1" s="1"/>
  <c r="B32" i="1"/>
  <c r="B33" i="1"/>
  <c r="B37" i="1" l="1"/>
  <c r="B38" i="1" s="1"/>
  <c r="B42" i="1" s="1"/>
</calcChain>
</file>

<file path=xl/sharedStrings.xml><?xml version="1.0" encoding="utf-8"?>
<sst xmlns="http://schemas.openxmlformats.org/spreadsheetml/2006/main" count="138" uniqueCount="92">
  <si>
    <t xml:space="preserve">Sand </t>
  </si>
  <si>
    <t>Gravel</t>
  </si>
  <si>
    <t>Wet sample + pan (g)</t>
  </si>
  <si>
    <t>Pan (g)</t>
  </si>
  <si>
    <t>Dry sample + pan (g)</t>
  </si>
  <si>
    <t>Moisture content (%)</t>
  </si>
  <si>
    <t>Actual material data</t>
  </si>
  <si>
    <t>Static yeild stress [Pa]</t>
  </si>
  <si>
    <t>Resting time [min]</t>
  </si>
  <si>
    <t>Original mix for 600-700 Pa</t>
  </si>
  <si>
    <t>Mix with 0,2-0,3% plastisizer for 600-700 Pa</t>
  </si>
  <si>
    <t>Open time limit</t>
  </si>
  <si>
    <t>Mixer</t>
  </si>
  <si>
    <t>Printhead</t>
  </si>
  <si>
    <t>Rthix</t>
  </si>
  <si>
    <t xml:space="preserve">Athix </t>
  </si>
  <si>
    <t>R^2</t>
  </si>
  <si>
    <t>Mix 1</t>
  </si>
  <si>
    <t>Mix 2</t>
  </si>
  <si>
    <t>Mix 3</t>
  </si>
  <si>
    <t>Mix (select mix here)</t>
  </si>
  <si>
    <t>Buildability model (Kruger et al. 2020)</t>
  </si>
  <si>
    <t>Filament shape and print path (Edit here)</t>
  </si>
  <si>
    <t>Height [mm]</t>
  </si>
  <si>
    <t>Width [mm]</t>
  </si>
  <si>
    <t>Print path length [mm]</t>
  </si>
  <si>
    <t>Print speed [mm/s]</t>
  </si>
  <si>
    <t>Strength corrolation factor</t>
  </si>
  <si>
    <t>Use Aspect ratio below to read Strength correlation factor from graph</t>
  </si>
  <si>
    <t>Information</t>
  </si>
  <si>
    <t>Minimum layer time [min] =</t>
  </si>
  <si>
    <t>Aspect ratio=</t>
  </si>
  <si>
    <t>Use this value as input for Strength Correlation factor</t>
  </si>
  <si>
    <t>Calculations</t>
  </si>
  <si>
    <t>Tstatic</t>
  </si>
  <si>
    <t>Tdynamic</t>
  </si>
  <si>
    <t>Athix</t>
  </si>
  <si>
    <t>Density</t>
  </si>
  <si>
    <t>T(t)</t>
  </si>
  <si>
    <t>mmat</t>
  </si>
  <si>
    <t>m&gt;T(t)?</t>
  </si>
  <si>
    <t>NL1 (Case0)=</t>
  </si>
  <si>
    <t>NL2 (Case1)=</t>
  </si>
  <si>
    <t>Answer</t>
  </si>
  <si>
    <t>Layer of failure=</t>
  </si>
  <si>
    <t>Height of failure (mm)=</t>
  </si>
  <si>
    <t>If negative, will not fail at any height</t>
  </si>
  <si>
    <t>Vertical build-up rate (m/h)=</t>
  </si>
  <si>
    <t>Actual heigh=</t>
  </si>
  <si>
    <t>Safety factor=</t>
  </si>
  <si>
    <t>Flexural strength</t>
  </si>
  <si>
    <t>Compressive strength</t>
  </si>
  <si>
    <t>Print</t>
  </si>
  <si>
    <t>Techniqe</t>
  </si>
  <si>
    <t>Age</t>
  </si>
  <si>
    <t>Sample Number</t>
  </si>
  <si>
    <t>Label</t>
  </si>
  <si>
    <t xml:space="preserve">Test specimen </t>
  </si>
  <si>
    <t>Width top [mm]</t>
  </si>
  <si>
    <t>Width bottom [mm]</t>
  </si>
  <si>
    <t>Force [N]</t>
  </si>
  <si>
    <t>IBS (Stress in MPa)</t>
  </si>
  <si>
    <t>Compressive strength [Mpa]</t>
  </si>
  <si>
    <t>REF</t>
  </si>
  <si>
    <t>Cast</t>
  </si>
  <si>
    <t>P</t>
  </si>
  <si>
    <t>C1</t>
  </si>
  <si>
    <t>C2</t>
  </si>
  <si>
    <t>C3</t>
  </si>
  <si>
    <t>Tc [°C]</t>
  </si>
  <si>
    <t>Ta [°C]</t>
  </si>
  <si>
    <t>rh [%]</t>
  </si>
  <si>
    <t>V [km/h]</t>
  </si>
  <si>
    <t>ER [kg/m3/h]</t>
  </si>
  <si>
    <t>Input</t>
  </si>
  <si>
    <t>Layer width (mm)</t>
  </si>
  <si>
    <t>Layer height (mm)</t>
  </si>
  <si>
    <t>Print speed (mm/s)</t>
  </si>
  <si>
    <t>For a layer time &gt;8 min</t>
  </si>
  <si>
    <t>Hose dia (mm)</t>
  </si>
  <si>
    <t>Hose length (m)</t>
  </si>
  <si>
    <t>Batch time of new mix (min)</t>
  </si>
  <si>
    <t>Between 10 and 15 min depending on team's speed</t>
  </si>
  <si>
    <t xml:space="preserve">Calculations </t>
  </si>
  <si>
    <t>Flow rate (x1.1) (l/h)</t>
  </si>
  <si>
    <t>max (BP):</t>
  </si>
  <si>
    <t>min (RT):</t>
  </si>
  <si>
    <t>Hose volume (l)</t>
  </si>
  <si>
    <t>Volume pump (l)</t>
  </si>
  <si>
    <t>Volume PH + hose + pump (l)</t>
  </si>
  <si>
    <t>Batch size (l)</t>
  </si>
  <si>
    <t>Residual time (min)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</si>
</sst>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sz val="11"/>
      <name val="Arial"/>
      <family val="2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9" fontId="3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0" fillId="2" borderId="0" xfId="0" applyFill="1"/>
    <xf numFmtId="0" fontId="4" fillId="0" borderId="0" xfId="0" applyFont="1"/>
    <xf numFmtId="2" fontId="0" fillId="0" borderId="0" xfId="0" applyNumberFormat="1"/>
    <xf numFmtId="0" fontId="5" fillId="0" borderId="0" xfId="0" applyFont="1"/>
    <xf numFmtId="0" fontId="0" fillId="3" borderId="0" xfId="0" applyFill="1"/>
    <xf numFmtId="164" fontId="0" fillId="3" borderId="0" xfId="0" applyNumberFormat="1" applyFill="1"/>
    <xf numFmtId="0" fontId="3" fillId="2" borderId="0" xfId="0" applyFont="1" applyFill="1"/>
    <xf numFmtId="0" fontId="6" fillId="0" borderId="0" xfId="0" applyFont="1"/>
    <xf numFmtId="164" fontId="6" fillId="0" borderId="0" xfId="0" applyNumberFormat="1" applyFont="1"/>
    <xf numFmtId="0" fontId="2" fillId="6" borderId="1" xfId="1" applyFill="1" applyBorder="1"/>
    <xf numFmtId="0" fontId="0" fillId="6" borderId="1" xfId="0" applyFill="1" applyBorder="1"/>
    <xf numFmtId="164" fontId="0" fillId="6" borderId="1" xfId="0" applyNumberFormat="1" applyFill="1" applyBorder="1"/>
    <xf numFmtId="0" fontId="2" fillId="4" borderId="1" xfId="1" applyBorder="1"/>
    <xf numFmtId="164" fontId="2" fillId="4" borderId="1" xfId="1" applyNumberFormat="1" applyBorder="1"/>
    <xf numFmtId="0" fontId="2" fillId="5" borderId="1" xfId="2" applyBorder="1"/>
    <xf numFmtId="164" fontId="2" fillId="5" borderId="1" xfId="2" applyNumberFormat="1" applyBorder="1"/>
    <xf numFmtId="2" fontId="0" fillId="6" borderId="1" xfId="0" applyNumberFormat="1" applyFill="1" applyBorder="1"/>
    <xf numFmtId="9" fontId="0" fillId="0" borderId="0" xfId="3" applyFont="1"/>
    <xf numFmtId="0" fontId="7" fillId="7" borderId="0" xfId="0" applyFont="1" applyFill="1"/>
    <xf numFmtId="0" fontId="0" fillId="8" borderId="0" xfId="0" applyFill="1"/>
    <xf numFmtId="0" fontId="6" fillId="0" borderId="0" xfId="4" applyFont="1"/>
    <xf numFmtId="0" fontId="1" fillId="0" borderId="0" xfId="4"/>
    <xf numFmtId="1" fontId="1" fillId="0" borderId="0" xfId="4" applyNumberFormat="1"/>
    <xf numFmtId="0" fontId="1" fillId="2" borderId="0" xfId="4" applyFill="1"/>
    <xf numFmtId="0" fontId="1" fillId="8" borderId="0" xfId="4" applyFill="1"/>
    <xf numFmtId="2" fontId="1" fillId="8" borderId="0" xfId="4" applyNumberFormat="1" applyFill="1"/>
  </cellXfs>
  <cellStyles count="5">
    <cellStyle name="20% - Accent1" xfId="1" builtinId="30"/>
    <cellStyle name="40% - Accent1" xfId="2" builtinId="31"/>
    <cellStyle name="Normal" xfId="0" builtinId="0"/>
    <cellStyle name="Normal 2" xfId="4" xr:uid="{DD512A99-ABEB-4B81-9C90-609BC24D13A8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071811262138237"/>
          <c:y val="4.8245614035087717E-2"/>
          <c:w val="0.84775559245931065"/>
          <c:h val="0.75700303909379751"/>
        </c:manualLayout>
      </c:layout>
      <c:scatterChart>
        <c:scatterStyle val="lineMarker"/>
        <c:varyColors val="0"/>
        <c:ser>
          <c:idx val="2"/>
          <c:order val="0"/>
          <c:tx>
            <c:strRef>
              <c:f>'Open time'!$A$4</c:f>
              <c:strCache>
                <c:ptCount val="1"/>
                <c:pt idx="0">
                  <c:v>Original mix for 600-700 Pa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'Open time'!$B$3:$F$3</c:f>
              <c:numCache>
                <c:formatCode>General</c:formatCode>
                <c:ptCount val="5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</c:numCache>
            </c:numRef>
          </c:xVal>
          <c:yVal>
            <c:numRef>
              <c:f>'Open time'!$B$6:$F$6</c:f>
              <c:numCache>
                <c:formatCode>General</c:formatCode>
                <c:ptCount val="5"/>
                <c:pt idx="0">
                  <c:v>600</c:v>
                </c:pt>
                <c:pt idx="1">
                  <c:v>700</c:v>
                </c:pt>
                <c:pt idx="2">
                  <c:v>800</c:v>
                </c:pt>
                <c:pt idx="3">
                  <c:v>900</c:v>
                </c:pt>
                <c:pt idx="4">
                  <c:v>1000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7E6A-4C6A-854C-E080231B2CC8}"/>
            </c:ext>
          </c:extLst>
        </c:ser>
        <c:ser>
          <c:idx val="0"/>
          <c:order val="1"/>
          <c:tx>
            <c:strRef>
              <c:f>'Open time'!$A$6</c:f>
              <c:strCache>
                <c:ptCount val="1"/>
                <c:pt idx="0">
                  <c:v>Mix with 0,2-0,3% plastisizer for 600-700 Pa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'Open time'!$B$5:$F$5</c:f>
              <c:numCache>
                <c:formatCode>General</c:formatCode>
                <c:ptCount val="5"/>
                <c:pt idx="0">
                  <c:v>40</c:v>
                </c:pt>
                <c:pt idx="1">
                  <c:v>50</c:v>
                </c:pt>
                <c:pt idx="2">
                  <c:v>60</c:v>
                </c:pt>
                <c:pt idx="3">
                  <c:v>70</c:v>
                </c:pt>
                <c:pt idx="4">
                  <c:v>80</c:v>
                </c:pt>
              </c:numCache>
            </c:numRef>
          </c:xVal>
          <c:yVal>
            <c:numRef>
              <c:f>'Open time'!$B$6:$F$6</c:f>
              <c:numCache>
                <c:formatCode>General</c:formatCode>
                <c:ptCount val="5"/>
                <c:pt idx="0">
                  <c:v>600</c:v>
                </c:pt>
                <c:pt idx="1">
                  <c:v>700</c:v>
                </c:pt>
                <c:pt idx="2">
                  <c:v>800</c:v>
                </c:pt>
                <c:pt idx="3">
                  <c:v>900</c:v>
                </c:pt>
                <c:pt idx="4">
                  <c:v>1000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7E6A-4C6A-854C-E080231B2CC8}"/>
            </c:ext>
          </c:extLst>
        </c:ser>
        <c:ser>
          <c:idx val="1"/>
          <c:order val="2"/>
          <c:tx>
            <c:strRef>
              <c:f>'Open time'!$A$12</c:f>
              <c:strCache>
                <c:ptCount val="1"/>
                <c:pt idx="0">
                  <c:v>Open time limit</c:v>
                </c:pt>
              </c:strCache>
            </c:strRef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'Open time'!$A$13:$B$13</c:f>
              <c:numCache>
                <c:formatCode>General</c:formatCode>
                <c:ptCount val="2"/>
                <c:pt idx="0">
                  <c:v>0</c:v>
                </c:pt>
                <c:pt idx="1">
                  <c:v>180</c:v>
                </c:pt>
              </c:numCache>
            </c:numRef>
          </c:xVal>
          <c:yVal>
            <c:numRef>
              <c:f>'Open time'!$A$14:$B$14</c:f>
              <c:numCache>
                <c:formatCode>General</c:formatCode>
                <c:ptCount val="2"/>
                <c:pt idx="0">
                  <c:v>1000</c:v>
                </c:pt>
                <c:pt idx="1">
                  <c:v>1000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7E6A-4C6A-854C-E080231B2CC8}"/>
            </c:ext>
          </c:extLst>
        </c:ser>
        <c:ser>
          <c:idx val="3"/>
          <c:order val="3"/>
          <c:tx>
            <c:strRef>
              <c:f>'Open time'!$A$8</c:f>
              <c:strCache>
                <c:ptCount val="1"/>
                <c:pt idx="0">
                  <c:v>Mix with 0,2-0,3% plastisizer for 600-700 Pa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'Open time'!$B$7:$F$7</c:f>
              <c:numCache>
                <c:formatCode>General</c:formatCode>
                <c:ptCount val="5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110</c:v>
                </c:pt>
                <c:pt idx="4">
                  <c:v>120</c:v>
                </c:pt>
              </c:numCache>
            </c:numRef>
          </c:xVal>
          <c:yVal>
            <c:numRef>
              <c:f>'Open time'!$B$8:$F$8</c:f>
              <c:numCache>
                <c:formatCode>General</c:formatCode>
                <c:ptCount val="5"/>
                <c:pt idx="0">
                  <c:v>600</c:v>
                </c:pt>
                <c:pt idx="1">
                  <c:v>700</c:v>
                </c:pt>
                <c:pt idx="2">
                  <c:v>800</c:v>
                </c:pt>
                <c:pt idx="3">
                  <c:v>900</c:v>
                </c:pt>
                <c:pt idx="4">
                  <c:v>1000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9DC-431B-A339-56DBD5356F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9272239"/>
        <c:axId val="1349272655"/>
      </c:scatterChart>
      <c:valAx>
        <c:axId val="13492722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after mixing</a:t>
                </a:r>
                <a:r>
                  <a:rPr lang="en-US" baseline="0"/>
                  <a:t> [min]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9272655"/>
        <c:crosses val="autoZero"/>
        <c:crossBetween val="midCat"/>
      </c:valAx>
      <c:valAx>
        <c:axId val="13492726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Shear</a:t>
                </a:r>
                <a:r>
                  <a:rPr lang="en-US" baseline="0"/>
                  <a:t> vane static yield stress [Pa]</a:t>
                </a:r>
              </a:p>
              <a:p>
                <a:pPr>
                  <a:defRPr/>
                </a:pP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927223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792088417951921"/>
          <c:y val="0.45284984113827875"/>
          <c:w val="0.27286032154894135"/>
          <c:h val="0.296054703688354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071811262138237"/>
          <c:y val="4.8245614035087717E-2"/>
          <c:w val="0.84775559245931065"/>
          <c:h val="0.75700303909379751"/>
        </c:manualLayout>
      </c:layout>
      <c:scatterChart>
        <c:scatterStyle val="lineMarker"/>
        <c:varyColors val="0"/>
        <c:ser>
          <c:idx val="0"/>
          <c:order val="0"/>
          <c:tx>
            <c:strRef>
              <c:f>'[2]Mix design'!$AO$26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yVal>
            <c:numRef>
              <c:f>'[2]Mix design'!$AO$27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6DA-4DA9-A86D-077008C43832}"/>
            </c:ext>
          </c:extLst>
        </c:ser>
        <c:ser>
          <c:idx val="1"/>
          <c:order val="1"/>
          <c:tx>
            <c:strRef>
              <c:f>Buildability!$J$3</c:f>
              <c:strCache>
                <c:ptCount val="1"/>
                <c:pt idx="0">
                  <c:v>Rthix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Buildability!$B$3:$E$3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5</c:v>
                </c:pt>
              </c:numCache>
            </c:numRef>
          </c:xVal>
          <c:yVal>
            <c:numRef>
              <c:f>Buildability!$B$8:$E$8</c:f>
              <c:numCache>
                <c:formatCode>General</c:formatCode>
                <c:ptCount val="4"/>
                <c:pt idx="0">
                  <c:v>500</c:v>
                </c:pt>
                <c:pt idx="1">
                  <c:v>1500</c:v>
                </c:pt>
                <c:pt idx="2">
                  <c:v>1550</c:v>
                </c:pt>
                <c:pt idx="3">
                  <c:v>1600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6DA-4DA9-A86D-077008C43832}"/>
            </c:ext>
          </c:extLst>
        </c:ser>
        <c:ser>
          <c:idx val="2"/>
          <c:order val="2"/>
          <c:tx>
            <c:strRef>
              <c:f>Buildability!$K$3</c:f>
              <c:strCache>
                <c:ptCount val="1"/>
                <c:pt idx="0">
                  <c:v>Athix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Buildability!$E$3:$I$3</c:f>
              <c:numCache>
                <c:formatCode>General</c:formatCode>
                <c:ptCount val="5"/>
                <c:pt idx="0">
                  <c:v>5</c:v>
                </c:pt>
                <c:pt idx="1">
                  <c:v>10</c:v>
                </c:pt>
                <c:pt idx="2">
                  <c:v>20</c:v>
                </c:pt>
                <c:pt idx="3">
                  <c:v>40</c:v>
                </c:pt>
                <c:pt idx="4">
                  <c:v>60</c:v>
                </c:pt>
              </c:numCache>
            </c:numRef>
          </c:xVal>
          <c:yVal>
            <c:numRef>
              <c:f>Buildability!$E$8:$I$8</c:f>
              <c:numCache>
                <c:formatCode>General</c:formatCode>
                <c:ptCount val="5"/>
                <c:pt idx="0">
                  <c:v>1600</c:v>
                </c:pt>
                <c:pt idx="1">
                  <c:v>1700</c:v>
                </c:pt>
                <c:pt idx="2">
                  <c:v>2000</c:v>
                </c:pt>
                <c:pt idx="3">
                  <c:v>3500</c:v>
                </c:pt>
                <c:pt idx="4">
                  <c:v>4500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56DA-4DA9-A86D-077008C438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9272239"/>
        <c:axId val="1349272655"/>
      </c:scatterChart>
      <c:valAx>
        <c:axId val="13492722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after mixing</a:t>
                </a:r>
                <a:r>
                  <a:rPr lang="en-US" baseline="0"/>
                  <a:t> [min]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9272655"/>
        <c:crosses val="autoZero"/>
        <c:crossBetween val="midCat"/>
      </c:valAx>
      <c:valAx>
        <c:axId val="13492726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Shear</a:t>
                </a:r>
                <a:r>
                  <a:rPr lang="en-US" baseline="0"/>
                  <a:t> vane static yield stress [Pa]</a:t>
                </a:r>
              </a:p>
              <a:p>
                <a:pPr>
                  <a:defRPr/>
                </a:pP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927223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64792088417951921"/>
          <c:y val="0.45284984113827875"/>
          <c:w val="0.1339799109738318"/>
          <c:h val="0.296054703688354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133350</xdr:rowOff>
    </xdr:from>
    <xdr:to>
      <xdr:col>11</xdr:col>
      <xdr:colOff>280842</xdr:colOff>
      <xdr:row>24</xdr:row>
      <xdr:rowOff>133350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F4D1AF1-2FCB-4B9A-AA2F-013EEE6D5B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516371</xdr:colOff>
      <xdr:row>9</xdr:row>
      <xdr:rowOff>85148</xdr:rowOff>
    </xdr:from>
    <xdr:to>
      <xdr:col>21</xdr:col>
      <xdr:colOff>178088</xdr:colOff>
      <xdr:row>25</xdr:row>
      <xdr:rowOff>85148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D504EB6-E996-4255-8EDD-A7A1C82A4A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</xdr:col>
      <xdr:colOff>298450</xdr:colOff>
      <xdr:row>22</xdr:row>
      <xdr:rowOff>94600</xdr:rowOff>
    </xdr:from>
    <xdr:ext cx="3908425" cy="2231231"/>
    <xdr:pic>
      <xdr:nvPicPr>
        <xdr:cNvPr id="3" name="Picture 2">
          <a:extLst>
            <a:ext uri="{FF2B5EF4-FFF2-40B4-BE49-F238E27FC236}">
              <a16:creationId xmlns:a16="http://schemas.microsoft.com/office/drawing/2014/main" id="{FFFB3DA9-C909-456E-9407-B05C874E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0650" y="4006200"/>
          <a:ext cx="3908425" cy="2231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rsonal\gm_cobod_com\Documents\.Documents\Materials%2520consulting\Mix%2520design%2520guide\COBOD%2520D.fab%2520mix%2520design%2520shee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rsonal\gm_cobod_com\Documents\.Documents\Projects\Nidus3D\Nidus3D%2520Mix%2520design%2520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w materials"/>
      <sheetName val="Cement and acclerators"/>
      <sheetName val="Gravel to sand ratio"/>
      <sheetName val="Mix design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w materials"/>
      <sheetName val="Mix design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A934B-EEA1-4F42-B1CB-7A516E28262C}">
  <dimension ref="A1:C5"/>
  <sheetViews>
    <sheetView workbookViewId="0">
      <selection activeCell="C15" sqref="C15"/>
    </sheetView>
  </sheetViews>
  <sheetFormatPr defaultRowHeight="14.1"/>
  <cols>
    <col min="1" max="1" width="22.5" customWidth="1"/>
  </cols>
  <sheetData>
    <row r="1" spans="1:3">
      <c r="B1" t="s">
        <v>0</v>
      </c>
      <c r="C1" t="s">
        <v>1</v>
      </c>
    </row>
    <row r="2" spans="1:3">
      <c r="A2" t="s">
        <v>2</v>
      </c>
      <c r="B2" s="2">
        <v>1000</v>
      </c>
      <c r="C2" s="2">
        <v>1000</v>
      </c>
    </row>
    <row r="3" spans="1:3">
      <c r="A3" t="s">
        <v>3</v>
      </c>
      <c r="B3" s="2">
        <v>500</v>
      </c>
      <c r="C3" s="2">
        <v>500</v>
      </c>
    </row>
    <row r="4" spans="1:3">
      <c r="A4" t="s">
        <v>4</v>
      </c>
      <c r="B4" s="2">
        <v>995</v>
      </c>
      <c r="C4" s="2">
        <v>995</v>
      </c>
    </row>
    <row r="5" spans="1:3">
      <c r="A5" t="s">
        <v>5</v>
      </c>
      <c r="B5" s="19">
        <f>(B2-B4)/(B4-B3)</f>
        <v>1.0101010101010102E-2</v>
      </c>
      <c r="C5" s="19">
        <f>(C2-C4)/(C4-C3)</f>
        <v>1.0101010101010102E-2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68731-A8BC-474E-91AD-71D0A783C637}">
  <dimension ref="A1:H14"/>
  <sheetViews>
    <sheetView workbookViewId="0">
      <selection activeCell="I4" sqref="I4"/>
    </sheetView>
  </sheetViews>
  <sheetFormatPr defaultRowHeight="14.1"/>
  <cols>
    <col min="1" max="1" width="43.375" customWidth="1"/>
  </cols>
  <sheetData>
    <row r="1" spans="1:8">
      <c r="A1" s="5" t="s">
        <v>6</v>
      </c>
      <c r="B1" s="1"/>
    </row>
    <row r="2" spans="1:8">
      <c r="A2" s="1" t="s">
        <v>7</v>
      </c>
      <c r="B2" s="1"/>
      <c r="C2" s="1"/>
      <c r="D2" s="1"/>
    </row>
    <row r="3" spans="1:8">
      <c r="A3" s="1" t="s">
        <v>8</v>
      </c>
      <c r="B3" s="1">
        <v>0</v>
      </c>
      <c r="C3" s="1">
        <v>10</v>
      </c>
      <c r="D3" s="1">
        <v>20</v>
      </c>
      <c r="E3">
        <v>30</v>
      </c>
      <c r="F3">
        <v>40</v>
      </c>
      <c r="G3">
        <v>50</v>
      </c>
      <c r="H3">
        <v>60</v>
      </c>
    </row>
    <row r="4" spans="1:8">
      <c r="A4" s="1" t="s">
        <v>9</v>
      </c>
      <c r="B4" s="2">
        <v>600</v>
      </c>
      <c r="C4" s="2">
        <v>700</v>
      </c>
      <c r="D4" s="2">
        <v>800</v>
      </c>
      <c r="E4" s="2">
        <v>900</v>
      </c>
      <c r="F4" s="2">
        <v>1000</v>
      </c>
      <c r="G4" s="2"/>
      <c r="H4" s="2"/>
    </row>
    <row r="5" spans="1:8">
      <c r="A5" s="1" t="s">
        <v>8</v>
      </c>
      <c r="B5" s="8">
        <v>40</v>
      </c>
      <c r="C5" s="1">
        <f>B5+10</f>
        <v>50</v>
      </c>
      <c r="D5" s="1">
        <f t="shared" ref="D5:H5" si="0">C5+10</f>
        <v>60</v>
      </c>
      <c r="E5" s="1">
        <f t="shared" si="0"/>
        <v>70</v>
      </c>
      <c r="F5" s="1">
        <f t="shared" si="0"/>
        <v>80</v>
      </c>
      <c r="G5" s="1">
        <f t="shared" si="0"/>
        <v>90</v>
      </c>
      <c r="H5" s="1">
        <f t="shared" si="0"/>
        <v>100</v>
      </c>
    </row>
    <row r="6" spans="1:8">
      <c r="A6" s="1" t="s">
        <v>10</v>
      </c>
      <c r="B6" s="2">
        <v>600</v>
      </c>
      <c r="C6" s="2">
        <v>700</v>
      </c>
      <c r="D6" s="2">
        <v>800</v>
      </c>
      <c r="E6" s="2">
        <v>900</v>
      </c>
      <c r="F6" s="2">
        <v>1000</v>
      </c>
      <c r="G6" s="2"/>
      <c r="H6" s="2"/>
    </row>
    <row r="7" spans="1:8">
      <c r="A7" s="1" t="s">
        <v>8</v>
      </c>
      <c r="B7" s="8">
        <v>80</v>
      </c>
      <c r="C7" s="1">
        <f>B7+10</f>
        <v>90</v>
      </c>
      <c r="D7" s="1">
        <f t="shared" ref="D7" si="1">C7+10</f>
        <v>100</v>
      </c>
      <c r="E7" s="1">
        <f t="shared" ref="E7" si="2">D7+10</f>
        <v>110</v>
      </c>
      <c r="F7" s="20">
        <f t="shared" ref="F7" si="3">E7+10</f>
        <v>120</v>
      </c>
      <c r="G7" s="1">
        <f t="shared" ref="G7" si="4">F7+10</f>
        <v>130</v>
      </c>
      <c r="H7" s="1">
        <f t="shared" ref="H7" si="5">G7+10</f>
        <v>140</v>
      </c>
    </row>
    <row r="8" spans="1:8">
      <c r="A8" s="1" t="s">
        <v>10</v>
      </c>
      <c r="B8" s="2">
        <v>600</v>
      </c>
      <c r="C8" s="2">
        <v>700</v>
      </c>
      <c r="D8" s="2">
        <v>800</v>
      </c>
      <c r="E8" s="2">
        <v>900</v>
      </c>
      <c r="F8" s="2">
        <v>1000</v>
      </c>
      <c r="G8" s="2"/>
      <c r="H8" s="2"/>
    </row>
    <row r="12" spans="1:8">
      <c r="A12" t="s">
        <v>11</v>
      </c>
    </row>
    <row r="13" spans="1:8">
      <c r="A13">
        <v>0</v>
      </c>
      <c r="B13">
        <v>180</v>
      </c>
    </row>
    <row r="14" spans="1:8">
      <c r="A14">
        <v>1000</v>
      </c>
      <c r="B14">
        <v>1000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07E73-6746-4E08-B63D-3D2D0FA33B39}">
  <dimension ref="A1:L42"/>
  <sheetViews>
    <sheetView topLeftCell="A5" zoomScaleNormal="100" workbookViewId="0">
      <selection activeCell="B16" sqref="B16"/>
    </sheetView>
  </sheetViews>
  <sheetFormatPr defaultRowHeight="14.1"/>
  <cols>
    <col min="1" max="1" width="22.375" customWidth="1"/>
    <col min="10" max="12" width="9.375" bestFit="1" customWidth="1"/>
  </cols>
  <sheetData>
    <row r="1" spans="1:12">
      <c r="A1" s="5" t="s">
        <v>6</v>
      </c>
      <c r="B1" s="1"/>
    </row>
    <row r="2" spans="1:12">
      <c r="A2" s="1" t="s">
        <v>7</v>
      </c>
      <c r="B2" s="1" t="s">
        <v>12</v>
      </c>
      <c r="C2" s="1" t="s">
        <v>13</v>
      </c>
      <c r="D2" s="1"/>
    </row>
    <row r="3" spans="1:12">
      <c r="A3" s="1" t="s">
        <v>8</v>
      </c>
      <c r="B3" s="1">
        <v>0</v>
      </c>
      <c r="C3" s="1">
        <v>1</v>
      </c>
      <c r="D3" s="1">
        <v>2</v>
      </c>
      <c r="E3">
        <v>5</v>
      </c>
      <c r="F3">
        <v>10</v>
      </c>
      <c r="G3">
        <v>20</v>
      </c>
      <c r="H3">
        <v>40</v>
      </c>
      <c r="I3">
        <v>60</v>
      </c>
      <c r="J3" s="1" t="s">
        <v>14</v>
      </c>
      <c r="K3" s="1" t="s">
        <v>15</v>
      </c>
      <c r="L3" s="1" t="s">
        <v>16</v>
      </c>
    </row>
    <row r="4" spans="1:12">
      <c r="A4" s="1" t="s">
        <v>17</v>
      </c>
      <c r="B4" s="2">
        <v>500</v>
      </c>
      <c r="C4" s="2">
        <v>1500</v>
      </c>
      <c r="D4" s="2">
        <v>1550</v>
      </c>
      <c r="E4" s="2">
        <v>1600</v>
      </c>
      <c r="F4" s="2">
        <v>1700</v>
      </c>
      <c r="G4" s="2">
        <v>2000</v>
      </c>
      <c r="H4" s="2">
        <v>3500</v>
      </c>
      <c r="I4" s="2">
        <v>4500</v>
      </c>
      <c r="J4" s="4">
        <f>SLOPE(B4:E4,B3:E3)/60</f>
        <v>2.7380952380952381</v>
      </c>
      <c r="K4" s="4">
        <f>SLOPE(E4:I4,E3:I3)/60</f>
        <v>0.92868589743589747</v>
      </c>
      <c r="L4" s="4">
        <f>RSQ(C4:I4,C3:I3)</f>
        <v>0.97686654728555888</v>
      </c>
    </row>
    <row r="5" spans="1:12">
      <c r="A5" s="1" t="s">
        <v>18</v>
      </c>
      <c r="B5" s="2">
        <v>500</v>
      </c>
      <c r="C5" s="2">
        <v>1000</v>
      </c>
      <c r="D5" s="2">
        <v>1050</v>
      </c>
      <c r="E5" s="2">
        <v>1100</v>
      </c>
      <c r="F5" s="2">
        <v>1500</v>
      </c>
      <c r="G5" s="2">
        <v>1800</v>
      </c>
      <c r="H5" s="2">
        <v>2500</v>
      </c>
      <c r="I5" s="2">
        <v>3500</v>
      </c>
      <c r="J5" s="4">
        <f>SLOPE(B5:E5,B3:E3)/60</f>
        <v>1.5476190476190477</v>
      </c>
      <c r="K5" s="4">
        <f>SLOPE(E5:I5,E3:I3)/60</f>
        <v>0.68669871794871795</v>
      </c>
      <c r="L5" s="4">
        <f>RSQ(C5:I5,C3:I3)</f>
        <v>0.99281836208450347</v>
      </c>
    </row>
    <row r="6" spans="1:12">
      <c r="A6" s="1" t="s">
        <v>19</v>
      </c>
      <c r="B6" s="2">
        <v>500</v>
      </c>
      <c r="C6" s="2">
        <v>700</v>
      </c>
      <c r="D6" s="2">
        <v>700</v>
      </c>
      <c r="E6" s="2">
        <v>800</v>
      </c>
      <c r="F6" s="2">
        <v>800</v>
      </c>
      <c r="G6" s="2">
        <v>900</v>
      </c>
      <c r="H6" s="2">
        <v>1200</v>
      </c>
      <c r="I6" s="2">
        <v>1500</v>
      </c>
      <c r="J6" s="4">
        <f>SLOPE(B6:E6,B3:E3)/60</f>
        <v>0.83333333333333337</v>
      </c>
      <c r="K6" s="4">
        <f>SLOPE(E6:I6,E3:I3)/60</f>
        <v>0.22115384615384617</v>
      </c>
      <c r="L6" s="4">
        <f>RSQ(C6:I6,C3:I3)</f>
        <v>0.98909013919777933</v>
      </c>
    </row>
    <row r="7" spans="1:12">
      <c r="A7" s="3" t="s">
        <v>20</v>
      </c>
      <c r="J7" s="4"/>
      <c r="K7" s="4"/>
      <c r="L7" s="4"/>
    </row>
    <row r="8" spans="1:12">
      <c r="A8" s="2" t="s">
        <v>17</v>
      </c>
      <c r="B8">
        <f>IF($A$8=$A$4,B4,IF($A$8=$A$5,B5,IF($A$8=$A$6,B6,)))</f>
        <v>500</v>
      </c>
      <c r="C8">
        <f t="shared" ref="C8:L8" si="0">IF($A$8=$A$4,C4,IF($A$8=$A$5,C5,IF($A$8=$A$6,C6,)))</f>
        <v>1500</v>
      </c>
      <c r="D8">
        <f t="shared" si="0"/>
        <v>1550</v>
      </c>
      <c r="E8">
        <f t="shared" si="0"/>
        <v>1600</v>
      </c>
      <c r="F8">
        <f t="shared" si="0"/>
        <v>1700</v>
      </c>
      <c r="G8">
        <f t="shared" si="0"/>
        <v>2000</v>
      </c>
      <c r="H8">
        <f t="shared" si="0"/>
        <v>3500</v>
      </c>
      <c r="I8">
        <f t="shared" si="0"/>
        <v>4500</v>
      </c>
      <c r="J8" s="4">
        <f t="shared" si="0"/>
        <v>2.7380952380952381</v>
      </c>
      <c r="K8" s="4">
        <f t="shared" si="0"/>
        <v>0.92868589743589747</v>
      </c>
      <c r="L8" s="4">
        <f t="shared" si="0"/>
        <v>0.97686654728555888</v>
      </c>
    </row>
    <row r="9" spans="1:12">
      <c r="A9" s="1"/>
    </row>
    <row r="10" spans="1:12">
      <c r="A10" s="5" t="s">
        <v>21</v>
      </c>
    </row>
    <row r="11" spans="1:12">
      <c r="A11" s="3" t="s">
        <v>22</v>
      </c>
    </row>
    <row r="12" spans="1:12">
      <c r="A12" s="1" t="s">
        <v>23</v>
      </c>
      <c r="B12" s="2">
        <v>40</v>
      </c>
    </row>
    <row r="13" spans="1:12">
      <c r="A13" s="1" t="s">
        <v>24</v>
      </c>
      <c r="B13" s="2">
        <v>80</v>
      </c>
    </row>
    <row r="14" spans="1:12">
      <c r="A14" s="1" t="s">
        <v>25</v>
      </c>
      <c r="B14" s="2">
        <v>50000</v>
      </c>
    </row>
    <row r="15" spans="1:12">
      <c r="A15" s="1" t="s">
        <v>26</v>
      </c>
      <c r="B15" s="2">
        <v>1000</v>
      </c>
    </row>
    <row r="16" spans="1:12">
      <c r="A16" s="1" t="s">
        <v>27</v>
      </c>
      <c r="B16" s="2">
        <v>1.4</v>
      </c>
      <c r="C16" s="1" t="s">
        <v>28</v>
      </c>
    </row>
    <row r="19" spans="1:8">
      <c r="A19" s="3" t="s">
        <v>29</v>
      </c>
    </row>
    <row r="20" spans="1:8">
      <c r="A20" s="1" t="s">
        <v>30</v>
      </c>
      <c r="B20">
        <f>B14/B15/60</f>
        <v>0.83333333333333337</v>
      </c>
    </row>
    <row r="21" spans="1:8">
      <c r="A21" s="1" t="s">
        <v>31</v>
      </c>
      <c r="B21" s="21">
        <f>B12/B13</f>
        <v>0.5</v>
      </c>
      <c r="C21" t="s">
        <v>32</v>
      </c>
    </row>
    <row r="22" spans="1:8">
      <c r="A22" s="1"/>
    </row>
    <row r="23" spans="1:8">
      <c r="A23" s="3" t="s">
        <v>33</v>
      </c>
    </row>
    <row r="24" spans="1:8">
      <c r="A24" s="1" t="s">
        <v>34</v>
      </c>
      <c r="B24">
        <f>C8</f>
        <v>1500</v>
      </c>
    </row>
    <row r="25" spans="1:8">
      <c r="A25" s="1" t="s">
        <v>35</v>
      </c>
      <c r="B25">
        <f>B8</f>
        <v>500</v>
      </c>
    </row>
    <row r="26" spans="1:8">
      <c r="A26" s="1" t="s">
        <v>14</v>
      </c>
      <c r="B26" s="4">
        <f>J8</f>
        <v>2.7380952380952381</v>
      </c>
    </row>
    <row r="27" spans="1:8">
      <c r="A27" s="1" t="s">
        <v>36</v>
      </c>
      <c r="B27" s="4">
        <f>K8</f>
        <v>0.92868589743589747</v>
      </c>
    </row>
    <row r="28" spans="1:8">
      <c r="A28" s="1" t="s">
        <v>37</v>
      </c>
      <c r="B28">
        <v>2150</v>
      </c>
    </row>
    <row r="29" spans="1:8">
      <c r="A29" t="s">
        <v>38</v>
      </c>
      <c r="B29">
        <f>(B28*9.81*B12*B15*0.001)/(2*B14*B16)</f>
        <v>6.0261428571428572</v>
      </c>
    </row>
    <row r="30" spans="1:8">
      <c r="A30" t="s">
        <v>39</v>
      </c>
      <c r="B30">
        <f>B24*B26/(B24-B25)</f>
        <v>4.1071428571428568</v>
      </c>
    </row>
    <row r="31" spans="1:8">
      <c r="A31" s="1" t="s">
        <v>40</v>
      </c>
      <c r="B31" t="b">
        <f>B30&gt;B29</f>
        <v>0</v>
      </c>
      <c r="H31" s="4"/>
    </row>
    <row r="32" spans="1:8">
      <c r="A32" s="1" t="s">
        <v>41</v>
      </c>
      <c r="B32">
        <f>-(B25/(B26*B14/B15-((B28*9.81*B12)/(2*1000*B16))))</f>
        <v>3.0413184839751475</v>
      </c>
      <c r="H32" s="4"/>
    </row>
    <row r="33" spans="1:3">
      <c r="A33" s="1" t="s">
        <v>42</v>
      </c>
      <c r="B33">
        <f>-((B24+(B27*(B25-B24)/B26))/(B27*B14/B15-B28*9.81*B12/(2*1000*B16)))</f>
        <v>4.554536775388712</v>
      </c>
    </row>
    <row r="34" spans="1:3">
      <c r="A34" s="1"/>
    </row>
    <row r="36" spans="1:3">
      <c r="A36" s="3" t="s">
        <v>43</v>
      </c>
    </row>
    <row r="37" spans="1:3">
      <c r="A37" s="1" t="s">
        <v>44</v>
      </c>
      <c r="B37">
        <f>ROUNDUP(IF(B31,B33,B32), 0)</f>
        <v>4</v>
      </c>
    </row>
    <row r="38" spans="1:3">
      <c r="A38" s="1" t="s">
        <v>45</v>
      </c>
      <c r="B38" s="6">
        <f>B37*B12</f>
        <v>160</v>
      </c>
      <c r="C38" s="1" t="s">
        <v>46</v>
      </c>
    </row>
    <row r="39" spans="1:3">
      <c r="A39" t="s">
        <v>47</v>
      </c>
      <c r="B39" s="6">
        <f>B12/(B20/60)/1000</f>
        <v>2.88</v>
      </c>
    </row>
    <row r="41" spans="1:3">
      <c r="A41" t="s">
        <v>48</v>
      </c>
      <c r="B41" s="2">
        <v>200</v>
      </c>
    </row>
    <row r="42" spans="1:3">
      <c r="A42" t="s">
        <v>49</v>
      </c>
      <c r="B42" s="7">
        <f>B41/B38</f>
        <v>1.25</v>
      </c>
    </row>
  </sheetData>
  <dataValidations disablePrompts="1" count="1">
    <dataValidation type="list" allowBlank="1" showInputMessage="1" showErrorMessage="1" sqref="A8" xr:uid="{EF652152-CC9F-4EFA-ACE7-81CF8C6F52C1}">
      <formula1>$A$4:$A$6</formula1>
    </dataValidation>
  </dataValidation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8FCED-FBFF-49C3-8747-D07D1B13A3C0}">
  <dimension ref="A1:Q22"/>
  <sheetViews>
    <sheetView workbookViewId="0">
      <selection activeCell="L8" sqref="L8"/>
    </sheetView>
  </sheetViews>
  <sheetFormatPr defaultRowHeight="14.1"/>
  <cols>
    <col min="1" max="1" width="6.875" customWidth="1"/>
    <col min="2" max="2" width="7.375" customWidth="1"/>
    <col min="3" max="3" width="6.75" customWidth="1"/>
    <col min="4" max="4" width="13.375" customWidth="1"/>
    <col min="5" max="5" width="13.625" customWidth="1"/>
    <col min="6" max="6" width="12.375" customWidth="1"/>
    <col min="7" max="7" width="2.875" customWidth="1"/>
    <col min="9" max="9" width="10.875" customWidth="1"/>
    <col min="10" max="10" width="15.625" customWidth="1"/>
    <col min="11" max="11" width="10.875" customWidth="1"/>
    <col min="12" max="12" width="15.625" customWidth="1"/>
    <col min="13" max="13" width="3.125" customWidth="1"/>
  </cols>
  <sheetData>
    <row r="1" spans="1:17" ht="14.45">
      <c r="A1" s="9" t="s">
        <v>50</v>
      </c>
      <c r="N1" s="9" t="s">
        <v>51</v>
      </c>
    </row>
    <row r="2" spans="1:17" ht="14.45">
      <c r="A2" s="9" t="s">
        <v>52</v>
      </c>
      <c r="B2" s="9" t="s">
        <v>53</v>
      </c>
      <c r="C2" s="9" t="s">
        <v>54</v>
      </c>
      <c r="D2" s="9" t="s">
        <v>55</v>
      </c>
      <c r="E2" s="9" t="s">
        <v>56</v>
      </c>
      <c r="F2" s="9" t="s">
        <v>57</v>
      </c>
      <c r="G2" s="9"/>
      <c r="H2" s="9" t="s">
        <v>23</v>
      </c>
      <c r="I2" s="9" t="s">
        <v>58</v>
      </c>
      <c r="J2" s="9" t="s">
        <v>59</v>
      </c>
      <c r="K2" s="9" t="s">
        <v>60</v>
      </c>
      <c r="L2" s="10" t="s">
        <v>61</v>
      </c>
      <c r="M2" s="10"/>
      <c r="N2" s="9" t="s">
        <v>23</v>
      </c>
      <c r="O2" s="9" t="s">
        <v>58</v>
      </c>
      <c r="P2" s="9" t="s">
        <v>60</v>
      </c>
      <c r="Q2" s="9" t="s">
        <v>62</v>
      </c>
    </row>
    <row r="3" spans="1:17" ht="14.45">
      <c r="A3" s="11" t="s">
        <v>63</v>
      </c>
      <c r="B3" s="11" t="s">
        <v>64</v>
      </c>
      <c r="C3" s="11">
        <v>7</v>
      </c>
      <c r="D3" s="11">
        <v>1</v>
      </c>
      <c r="E3" s="11" t="str">
        <f>_xlfn.TEXTJOIN("-",FALSE,A3:D3)</f>
        <v>REF-Cast-7-1</v>
      </c>
      <c r="F3" s="11">
        <v>1</v>
      </c>
      <c r="G3" s="11"/>
      <c r="H3" s="12">
        <v>40</v>
      </c>
      <c r="I3" s="18">
        <v>40</v>
      </c>
      <c r="J3" s="12">
        <v>40</v>
      </c>
      <c r="K3" s="12">
        <v>3100</v>
      </c>
      <c r="L3" s="13">
        <f>K3/2*50/(1/6*AVERAGE(I3,J3)*H3*H3)</f>
        <v>7.2656250000000018</v>
      </c>
      <c r="M3" s="13"/>
      <c r="N3" s="18">
        <v>40</v>
      </c>
      <c r="O3" s="12">
        <v>40</v>
      </c>
      <c r="P3" s="12">
        <v>59400</v>
      </c>
      <c r="Q3" s="12">
        <f>P3/(N3*O3)</f>
        <v>37.125</v>
      </c>
    </row>
    <row r="4" spans="1:17" ht="14.45">
      <c r="A4" s="11" t="s">
        <v>63</v>
      </c>
      <c r="B4" s="11" t="s">
        <v>64</v>
      </c>
      <c r="C4" s="11">
        <v>7</v>
      </c>
      <c r="D4" s="11">
        <v>2</v>
      </c>
      <c r="E4" s="11" t="str">
        <f t="shared" ref="E4:E5" si="0">_xlfn.TEXTJOIN("-",FALSE,A4:D4)</f>
        <v>REF-Cast-7-2</v>
      </c>
      <c r="F4" s="11">
        <v>2</v>
      </c>
      <c r="G4" s="11"/>
      <c r="H4" s="12"/>
      <c r="I4" s="12"/>
      <c r="J4" s="12"/>
      <c r="K4" s="12"/>
      <c r="L4" s="13"/>
      <c r="M4" s="13"/>
      <c r="N4" s="12"/>
      <c r="O4" s="12"/>
      <c r="P4" s="12"/>
      <c r="Q4" s="12"/>
    </row>
    <row r="5" spans="1:17" ht="14.45">
      <c r="A5" s="11" t="s">
        <v>63</v>
      </c>
      <c r="B5" s="11" t="s">
        <v>64</v>
      </c>
      <c r="C5" s="11">
        <v>7</v>
      </c>
      <c r="D5" s="11">
        <v>3</v>
      </c>
      <c r="E5" s="11" t="str">
        <f t="shared" si="0"/>
        <v>REF-Cast-7-3</v>
      </c>
      <c r="F5" s="11">
        <v>3</v>
      </c>
      <c r="G5" s="11"/>
      <c r="H5" s="12"/>
      <c r="I5" s="12"/>
      <c r="J5" s="12"/>
      <c r="K5" s="12"/>
      <c r="L5" s="13"/>
      <c r="M5" s="13"/>
      <c r="N5" s="12"/>
      <c r="O5" s="12"/>
      <c r="P5" s="12"/>
      <c r="Q5" s="12"/>
    </row>
    <row r="6" spans="1:17" ht="14.45">
      <c r="A6" s="14" t="s">
        <v>63</v>
      </c>
      <c r="B6" s="14" t="s">
        <v>65</v>
      </c>
      <c r="C6" s="14">
        <v>7</v>
      </c>
      <c r="D6" s="14">
        <v>1</v>
      </c>
      <c r="E6" s="14" t="str">
        <f>_xlfn.TEXTJOIN("-",FALSE,A6:D6)</f>
        <v>REF-P-7-1</v>
      </c>
      <c r="F6" s="14">
        <f>F5+1</f>
        <v>4</v>
      </c>
      <c r="G6" s="14"/>
      <c r="H6" s="14"/>
      <c r="I6" s="14"/>
      <c r="J6" s="14"/>
      <c r="K6" s="14"/>
      <c r="L6" s="15"/>
      <c r="M6" s="15"/>
      <c r="N6" s="14"/>
      <c r="O6" s="14"/>
      <c r="P6" s="14"/>
      <c r="Q6" s="14"/>
    </row>
    <row r="7" spans="1:17" ht="14.45">
      <c r="A7" s="14" t="s">
        <v>63</v>
      </c>
      <c r="B7" s="14" t="s">
        <v>65</v>
      </c>
      <c r="C7" s="14">
        <v>7</v>
      </c>
      <c r="D7" s="14">
        <v>2</v>
      </c>
      <c r="E7" s="14" t="str">
        <f t="shared" ref="E7:E20" si="1">_xlfn.TEXTJOIN("-",FALSE,A7:D7)</f>
        <v>REF-P-7-2</v>
      </c>
      <c r="F7" s="14">
        <f t="shared" ref="F7:F20" si="2">F6+1</f>
        <v>5</v>
      </c>
      <c r="G7" s="14"/>
      <c r="H7" s="14"/>
      <c r="I7" s="14"/>
      <c r="J7" s="14"/>
      <c r="K7" s="14"/>
      <c r="L7" s="15"/>
      <c r="M7" s="15"/>
      <c r="N7" s="14"/>
      <c r="O7" s="14"/>
      <c r="P7" s="14"/>
      <c r="Q7" s="14"/>
    </row>
    <row r="8" spans="1:17" ht="14.45">
      <c r="A8" s="14" t="s">
        <v>63</v>
      </c>
      <c r="B8" s="14" t="s">
        <v>65</v>
      </c>
      <c r="C8" s="14">
        <v>7</v>
      </c>
      <c r="D8" s="14">
        <v>3</v>
      </c>
      <c r="E8" s="14" t="str">
        <f t="shared" ref="E8" si="3">_xlfn.TEXTJOIN("-",FALSE,A8:D8)</f>
        <v>REF-P-7-3</v>
      </c>
      <c r="F8" s="14">
        <f t="shared" si="2"/>
        <v>6</v>
      </c>
      <c r="G8" s="14"/>
      <c r="H8" s="14"/>
      <c r="I8" s="14"/>
      <c r="J8" s="14"/>
      <c r="K8" s="14"/>
      <c r="L8" s="15"/>
      <c r="M8" s="15"/>
      <c r="N8" s="14"/>
      <c r="O8" s="14"/>
      <c r="P8" s="14"/>
      <c r="Q8" s="14"/>
    </row>
    <row r="9" spans="1:17" ht="14.45">
      <c r="A9" s="14" t="s">
        <v>63</v>
      </c>
      <c r="B9" s="14" t="s">
        <v>65</v>
      </c>
      <c r="C9" s="14">
        <v>7</v>
      </c>
      <c r="D9" s="14">
        <v>4</v>
      </c>
      <c r="E9" s="14" t="str">
        <f t="shared" si="1"/>
        <v>REF-P-7-4</v>
      </c>
      <c r="F9" s="14">
        <f t="shared" si="2"/>
        <v>7</v>
      </c>
      <c r="G9" s="14"/>
      <c r="H9" s="14"/>
      <c r="I9" s="14"/>
      <c r="J9" s="14"/>
      <c r="K9" s="14"/>
      <c r="L9" s="15"/>
      <c r="M9" s="15"/>
      <c r="N9" s="14"/>
      <c r="O9" s="14"/>
      <c r="P9" s="14"/>
      <c r="Q9" s="14"/>
    </row>
    <row r="10" spans="1:17" ht="14.45">
      <c r="A10" s="14" t="s">
        <v>63</v>
      </c>
      <c r="B10" s="14" t="s">
        <v>65</v>
      </c>
      <c r="C10" s="14">
        <v>7</v>
      </c>
      <c r="D10" s="14">
        <v>5</v>
      </c>
      <c r="E10" s="14" t="str">
        <f t="shared" si="1"/>
        <v>REF-P-7-5</v>
      </c>
      <c r="F10" s="14">
        <f t="shared" si="2"/>
        <v>8</v>
      </c>
      <c r="G10" s="14"/>
      <c r="H10" s="14"/>
      <c r="I10" s="14"/>
      <c r="J10" s="14"/>
      <c r="K10" s="14"/>
      <c r="L10" s="15"/>
      <c r="M10" s="15"/>
      <c r="N10" s="14"/>
      <c r="O10" s="14"/>
      <c r="P10" s="14"/>
      <c r="Q10" s="14"/>
    </row>
    <row r="11" spans="1:17" ht="14.45">
      <c r="A11" s="14" t="s">
        <v>63</v>
      </c>
      <c r="B11" s="14" t="s">
        <v>65</v>
      </c>
      <c r="C11" s="14">
        <v>7</v>
      </c>
      <c r="D11" s="14">
        <v>6</v>
      </c>
      <c r="E11" s="14" t="str">
        <f t="shared" si="1"/>
        <v>REF-P-7-6</v>
      </c>
      <c r="F11" s="14">
        <f t="shared" si="2"/>
        <v>9</v>
      </c>
      <c r="G11" s="14"/>
      <c r="H11" s="14"/>
      <c r="I11" s="14"/>
      <c r="J11" s="14"/>
      <c r="K11" s="14"/>
      <c r="L11" s="15"/>
      <c r="M11" s="15"/>
      <c r="N11" s="14"/>
      <c r="O11" s="14"/>
      <c r="P11" s="14"/>
      <c r="Q11" s="14"/>
    </row>
    <row r="12" spans="1:17" ht="14.45">
      <c r="A12" s="16" t="s">
        <v>63</v>
      </c>
      <c r="B12" s="16" t="s">
        <v>64</v>
      </c>
      <c r="C12" s="16">
        <v>28</v>
      </c>
      <c r="D12" s="16">
        <v>1</v>
      </c>
      <c r="E12" s="16" t="str">
        <f t="shared" si="1"/>
        <v>REF-Cast-28-1</v>
      </c>
      <c r="F12" s="16">
        <f t="shared" si="2"/>
        <v>10</v>
      </c>
      <c r="G12" s="16"/>
      <c r="H12" s="16"/>
      <c r="I12" s="16"/>
      <c r="J12" s="16"/>
      <c r="K12" s="16"/>
      <c r="L12" s="17"/>
      <c r="M12" s="17"/>
      <c r="N12" s="16"/>
      <c r="O12" s="16"/>
      <c r="P12" s="16"/>
      <c r="Q12" s="16"/>
    </row>
    <row r="13" spans="1:17" ht="14.45">
      <c r="A13" s="16" t="s">
        <v>63</v>
      </c>
      <c r="B13" s="16" t="s">
        <v>64</v>
      </c>
      <c r="C13" s="16">
        <v>28</v>
      </c>
      <c r="D13" s="16">
        <f>D12+1</f>
        <v>2</v>
      </c>
      <c r="E13" s="16" t="str">
        <f t="shared" si="1"/>
        <v>REF-Cast-28-2</v>
      </c>
      <c r="F13" s="16">
        <f t="shared" si="2"/>
        <v>11</v>
      </c>
      <c r="G13" s="16"/>
      <c r="H13" s="16"/>
      <c r="I13" s="16"/>
      <c r="J13" s="16"/>
      <c r="K13" s="16"/>
      <c r="L13" s="17"/>
      <c r="M13" s="17"/>
      <c r="N13" s="16"/>
      <c r="O13" s="16"/>
      <c r="P13" s="16"/>
      <c r="Q13" s="16"/>
    </row>
    <row r="14" spans="1:17" ht="14.45">
      <c r="A14" s="16" t="s">
        <v>63</v>
      </c>
      <c r="B14" s="16" t="s">
        <v>64</v>
      </c>
      <c r="C14" s="16">
        <v>28</v>
      </c>
      <c r="D14" s="16">
        <f t="shared" ref="D14" si="4">D13+1</f>
        <v>3</v>
      </c>
      <c r="E14" s="16" t="str">
        <f t="shared" si="1"/>
        <v>REF-Cast-28-3</v>
      </c>
      <c r="F14" s="16">
        <f t="shared" si="2"/>
        <v>12</v>
      </c>
      <c r="G14" s="16"/>
      <c r="H14" s="16"/>
      <c r="I14" s="16"/>
      <c r="J14" s="16"/>
      <c r="K14" s="16"/>
      <c r="L14" s="17"/>
      <c r="M14" s="17"/>
      <c r="N14" s="16"/>
      <c r="O14" s="16"/>
      <c r="P14" s="16"/>
      <c r="Q14" s="16"/>
    </row>
    <row r="15" spans="1:17" ht="14.45">
      <c r="A15" s="14" t="s">
        <v>63</v>
      </c>
      <c r="B15" s="14" t="s">
        <v>65</v>
      </c>
      <c r="C15" s="14">
        <v>28</v>
      </c>
      <c r="D15" s="14">
        <v>1</v>
      </c>
      <c r="E15" s="14" t="str">
        <f t="shared" si="1"/>
        <v>REF-P-28-1</v>
      </c>
      <c r="F15" s="14">
        <f t="shared" si="2"/>
        <v>13</v>
      </c>
      <c r="G15" s="14"/>
      <c r="H15" s="14"/>
      <c r="I15" s="14"/>
      <c r="J15" s="14"/>
      <c r="K15" s="14"/>
      <c r="L15" s="15"/>
      <c r="M15" s="15"/>
      <c r="N15" s="14"/>
      <c r="O15" s="14"/>
      <c r="P15" s="14"/>
      <c r="Q15" s="14"/>
    </row>
    <row r="16" spans="1:17" ht="14.45">
      <c r="A16" s="14" t="s">
        <v>63</v>
      </c>
      <c r="B16" s="14" t="s">
        <v>65</v>
      </c>
      <c r="C16" s="14">
        <v>28</v>
      </c>
      <c r="D16" s="14">
        <v>2</v>
      </c>
      <c r="E16" s="14" t="str">
        <f t="shared" si="1"/>
        <v>REF-P-28-2</v>
      </c>
      <c r="F16" s="14">
        <f t="shared" si="2"/>
        <v>14</v>
      </c>
      <c r="G16" s="14"/>
      <c r="H16" s="14"/>
      <c r="I16" s="14"/>
      <c r="J16" s="14"/>
      <c r="K16" s="14"/>
      <c r="L16" s="15"/>
      <c r="M16" s="15"/>
      <c r="N16" s="14"/>
      <c r="O16" s="14"/>
      <c r="P16" s="14"/>
      <c r="Q16" s="14"/>
    </row>
    <row r="17" spans="1:17" ht="14.45">
      <c r="A17" s="14" t="s">
        <v>63</v>
      </c>
      <c r="B17" s="14" t="s">
        <v>65</v>
      </c>
      <c r="C17" s="14">
        <v>28</v>
      </c>
      <c r="D17" s="14">
        <v>3</v>
      </c>
      <c r="E17" s="14" t="str">
        <f t="shared" si="1"/>
        <v>REF-P-28-3</v>
      </c>
      <c r="F17" s="14">
        <f t="shared" si="2"/>
        <v>15</v>
      </c>
      <c r="G17" s="14"/>
      <c r="H17" s="14"/>
      <c r="I17" s="14"/>
      <c r="J17" s="14"/>
      <c r="K17" s="14"/>
      <c r="L17" s="15"/>
      <c r="M17" s="15"/>
      <c r="N17" s="14"/>
      <c r="O17" s="14"/>
      <c r="P17" s="14"/>
      <c r="Q17" s="14"/>
    </row>
    <row r="18" spans="1:17" ht="14.45">
      <c r="A18" s="14" t="s">
        <v>63</v>
      </c>
      <c r="B18" s="14" t="s">
        <v>65</v>
      </c>
      <c r="C18" s="14">
        <v>28</v>
      </c>
      <c r="D18" s="14">
        <v>4</v>
      </c>
      <c r="E18" s="14" t="str">
        <f t="shared" si="1"/>
        <v>REF-P-28-4</v>
      </c>
      <c r="F18" s="14">
        <f t="shared" si="2"/>
        <v>16</v>
      </c>
      <c r="G18" s="14"/>
      <c r="H18" s="14"/>
      <c r="I18" s="14"/>
      <c r="J18" s="14"/>
      <c r="K18" s="14"/>
      <c r="L18" s="15"/>
      <c r="M18" s="15"/>
      <c r="N18" s="14"/>
      <c r="O18" s="14"/>
      <c r="P18" s="14"/>
      <c r="Q18" s="14"/>
    </row>
    <row r="19" spans="1:17" ht="14.45">
      <c r="A19" s="14" t="s">
        <v>63</v>
      </c>
      <c r="B19" s="14" t="s">
        <v>65</v>
      </c>
      <c r="C19" s="14">
        <v>28</v>
      </c>
      <c r="D19" s="14">
        <v>5</v>
      </c>
      <c r="E19" s="14" t="str">
        <f t="shared" si="1"/>
        <v>REF-P-28-5</v>
      </c>
      <c r="F19" s="14">
        <f t="shared" si="2"/>
        <v>17</v>
      </c>
      <c r="G19" s="14"/>
      <c r="H19" s="14"/>
      <c r="I19" s="14"/>
      <c r="J19" s="14"/>
      <c r="K19" s="14"/>
      <c r="L19" s="15"/>
      <c r="M19" s="15"/>
      <c r="N19" s="14"/>
      <c r="O19" s="14"/>
      <c r="P19" s="14"/>
      <c r="Q19" s="14"/>
    </row>
    <row r="20" spans="1:17" ht="14.45">
      <c r="A20" s="14" t="s">
        <v>63</v>
      </c>
      <c r="B20" s="14" t="s">
        <v>65</v>
      </c>
      <c r="C20" s="14">
        <v>28</v>
      </c>
      <c r="D20" s="14">
        <v>6</v>
      </c>
      <c r="E20" s="14" t="str">
        <f t="shared" si="1"/>
        <v>REF-P-28-6</v>
      </c>
      <c r="F20" s="14">
        <f t="shared" si="2"/>
        <v>18</v>
      </c>
      <c r="G20" s="14"/>
      <c r="H20" s="14"/>
      <c r="I20" s="14"/>
      <c r="J20" s="14"/>
      <c r="K20" s="14"/>
      <c r="L20" s="15"/>
      <c r="M20" s="15"/>
      <c r="N20" s="14"/>
      <c r="O20" s="14"/>
      <c r="P20" s="14"/>
      <c r="Q20" s="14"/>
    </row>
    <row r="21" spans="1:17" ht="14.4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5"/>
      <c r="M21" s="15"/>
      <c r="N21" s="14"/>
      <c r="O21" s="14"/>
      <c r="P21" s="14"/>
      <c r="Q21" s="14"/>
    </row>
    <row r="22" spans="1:17" ht="14.4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5"/>
      <c r="M22" s="15"/>
      <c r="N22" s="14"/>
      <c r="O22" s="14"/>
      <c r="P22" s="14"/>
      <c r="Q22" s="1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4E283-9B03-4193-8697-15B6B614AE61}">
  <dimension ref="A1:D6"/>
  <sheetViews>
    <sheetView workbookViewId="0">
      <selection activeCell="B7" sqref="B7"/>
    </sheetView>
  </sheetViews>
  <sheetFormatPr defaultRowHeight="14.1"/>
  <cols>
    <col min="1" max="1" width="14.875" customWidth="1"/>
  </cols>
  <sheetData>
    <row r="1" spans="1:4">
      <c r="B1" t="s">
        <v>66</v>
      </c>
      <c r="C1" t="s">
        <v>67</v>
      </c>
      <c r="D1" t="s">
        <v>68</v>
      </c>
    </row>
    <row r="2" spans="1:4">
      <c r="A2" t="s">
        <v>69</v>
      </c>
      <c r="B2" s="2">
        <v>22</v>
      </c>
    </row>
    <row r="3" spans="1:4">
      <c r="A3" t="s">
        <v>70</v>
      </c>
      <c r="B3" s="2">
        <v>35</v>
      </c>
    </row>
    <row r="4" spans="1:4">
      <c r="A4" t="s">
        <v>71</v>
      </c>
      <c r="B4" s="2">
        <v>0.05</v>
      </c>
    </row>
    <row r="5" spans="1:4">
      <c r="A5" t="s">
        <v>72</v>
      </c>
      <c r="B5" s="2">
        <v>22</v>
      </c>
    </row>
    <row r="6" spans="1:4">
      <c r="A6" t="s">
        <v>73</v>
      </c>
      <c r="B6" s="21">
        <f>5*((B2+18)^2.5-B4*(B3+18)^2.5)*(B5+4)*10^-6</f>
        <v>1.1825836202166169</v>
      </c>
    </row>
  </sheetData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6C009-84B9-49C7-89D0-E3F9991AE9BB}">
  <dimension ref="A1:F17"/>
  <sheetViews>
    <sheetView tabSelected="1" workbookViewId="0">
      <selection activeCell="C15" sqref="C15"/>
    </sheetView>
  </sheetViews>
  <sheetFormatPr defaultColWidth="8.625" defaultRowHeight="14.45"/>
  <cols>
    <col min="1" max="1" width="23" style="23" customWidth="1"/>
    <col min="2" max="2" width="9.375" style="23" bestFit="1" customWidth="1"/>
    <col min="3" max="3" width="8.625" style="23"/>
    <col min="4" max="4" width="6.375" style="23" customWidth="1"/>
    <col min="5" max="5" width="9.5" style="23" customWidth="1"/>
    <col min="6" max="16384" width="8.625" style="23"/>
  </cols>
  <sheetData>
    <row r="1" spans="1:6">
      <c r="A1" s="22" t="s">
        <v>74</v>
      </c>
    </row>
    <row r="2" spans="1:6">
      <c r="A2" s="23" t="s">
        <v>75</v>
      </c>
      <c r="B2" s="25">
        <v>50</v>
      </c>
    </row>
    <row r="3" spans="1:6">
      <c r="A3" s="23" t="s">
        <v>76</v>
      </c>
      <c r="B3" s="25">
        <v>40</v>
      </c>
    </row>
    <row r="4" spans="1:6">
      <c r="A4" s="23" t="s">
        <v>77</v>
      </c>
      <c r="B4" s="25">
        <v>250</v>
      </c>
      <c r="C4" s="23" t="s">
        <v>78</v>
      </c>
    </row>
    <row r="5" spans="1:6">
      <c r="A5" s="23" t="s">
        <v>79</v>
      </c>
      <c r="B5" s="25">
        <v>50</v>
      </c>
    </row>
    <row r="6" spans="1:6">
      <c r="A6" s="23" t="s">
        <v>80</v>
      </c>
      <c r="B6" s="25">
        <v>45</v>
      </c>
    </row>
    <row r="7" spans="1:6">
      <c r="A7" s="23" t="s">
        <v>81</v>
      </c>
      <c r="B7" s="25">
        <v>10</v>
      </c>
      <c r="C7" s="23" t="s">
        <v>82</v>
      </c>
    </row>
    <row r="9" spans="1:6">
      <c r="A9" s="22" t="s">
        <v>83</v>
      </c>
    </row>
    <row r="10" spans="1:6">
      <c r="A10" s="23" t="s">
        <v>84</v>
      </c>
      <c r="B10" s="23">
        <f>1.1*(B2*B3*B4)/1000^3*3600*1000</f>
        <v>1980.0000000000002</v>
      </c>
      <c r="C10" s="23" t="s">
        <v>85</v>
      </c>
      <c r="D10" s="23">
        <v>1800</v>
      </c>
      <c r="E10" s="23" t="s">
        <v>86</v>
      </c>
      <c r="F10" s="23">
        <v>700</v>
      </c>
    </row>
    <row r="11" spans="1:6">
      <c r="A11" s="23" t="s">
        <v>87</v>
      </c>
      <c r="B11" s="24">
        <f>B6*(PI()*((B5/1000)^2)/4)*1000</f>
        <v>88.357293382212944</v>
      </c>
    </row>
    <row r="12" spans="1:6">
      <c r="A12" s="23" t="s">
        <v>88</v>
      </c>
      <c r="B12" s="24">
        <v>50</v>
      </c>
    </row>
    <row r="13" spans="1:6">
      <c r="A13" s="23" t="s">
        <v>89</v>
      </c>
      <c r="B13" s="24">
        <f>30+B11+8+B12</f>
        <v>176.35729338221296</v>
      </c>
    </row>
    <row r="15" spans="1:6">
      <c r="A15" s="22" t="s">
        <v>43</v>
      </c>
    </row>
    <row r="16" spans="1:6">
      <c r="A16" s="23" t="s">
        <v>90</v>
      </c>
      <c r="B16" s="26">
        <f>B10*B7/60</f>
        <v>330.00000000000006</v>
      </c>
    </row>
    <row r="17" spans="1:2">
      <c r="A17" s="23" t="s">
        <v>91</v>
      </c>
      <c r="B17" s="27">
        <f>B13/B10*60</f>
        <v>5.3441604055216034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0BA597E7BE58409E8D8E751AE06D3A" ma:contentTypeVersion="16" ma:contentTypeDescription="Create a new document." ma:contentTypeScope="" ma:versionID="7fb3781448e6759a3d4c64fbfeea4467">
  <xsd:schema xmlns:xsd="http://www.w3.org/2001/XMLSchema" xmlns:xs="http://www.w3.org/2001/XMLSchema" xmlns:p="http://schemas.microsoft.com/office/2006/metadata/properties" xmlns:ns2="c378847f-1e5b-4fa5-8e85-4e17722fcb4d" xmlns:ns3="f7a7481a-da16-46cd-852c-496f5052976e" targetNamespace="http://schemas.microsoft.com/office/2006/metadata/properties" ma:root="true" ma:fieldsID="b2c19513942c938de2a43bff69c8aaae" ns2:_="" ns3:_="">
    <xsd:import namespace="c378847f-1e5b-4fa5-8e85-4e17722fcb4d"/>
    <xsd:import namespace="f7a7481a-da16-46cd-852c-496f505297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78847f-1e5b-4fa5-8e85-4e17722fcb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fad3f0f-c8fb-4a54-ac5d-481d3b7308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a7481a-da16-46cd-852c-496f5052976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e0ce282-724c-47a9-9e83-b808c6598589}" ma:internalName="TaxCatchAll" ma:showField="CatchAllData" ma:web="f7a7481a-da16-46cd-852c-496f505297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a7481a-da16-46cd-852c-496f5052976e" xsi:nil="true"/>
    <lcf76f155ced4ddcb4097134ff3c332f xmlns="c378847f-1e5b-4fa5-8e85-4e17722fcb4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C815825-3D4A-4DF4-BB3E-019BA2851697}"/>
</file>

<file path=customXml/itemProps2.xml><?xml version="1.0" encoding="utf-8"?>
<ds:datastoreItem xmlns:ds="http://schemas.openxmlformats.org/officeDocument/2006/customXml" ds:itemID="{C326D69D-868A-4352-A9AD-12C9BDFE4DEE}"/>
</file>

<file path=customXml/itemProps3.xml><?xml version="1.0" encoding="utf-8"?>
<ds:datastoreItem xmlns:ds="http://schemas.openxmlformats.org/officeDocument/2006/customXml" ds:itemID="{25763806-A187-49DC-B39F-60CC8C33C2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Gerius Moelich</dc:creator>
  <cp:keywords/>
  <dc:description/>
  <cp:lastModifiedBy/>
  <cp:revision/>
  <dcterms:created xsi:type="dcterms:W3CDTF">2022-06-09T08:39:19Z</dcterms:created>
  <dcterms:modified xsi:type="dcterms:W3CDTF">2023-04-21T12:10:36Z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0x010100680BA597E7BE58409E8D8E751AE06D3A</vt:lpwstr>
  </property>
</Properties>
</file>